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1. Tinh so thang" sheetId="1" state="visible" r:id="rId3"/>
    <sheet name="2. Checklist ho thang" sheetId="2" state="visible" r:id="rId4"/>
    <sheet name="3. Lich kiem dinh" sheetId="3" state="visible" r:id="rId5"/>
    <sheet name="4. Chi phi van hanh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<sst xmlns="http://schemas.openxmlformats.org/spreadsheetml/2006/main" count="132" uniqueCount="124">
  <si>
    <t xml:space="preserve">TÍNH SƠ BỘ SỐ THANG MÁY KHÁCH SẠN</t>
  </si>
  <si>
    <t xml:space="preserve">Romo Cons · romocons.vn/thang-may-khach-san/ · Nhập ô vàng (chữ xanh). Phương pháp vòng chạy (round trip time) cao điểm đi lên, chỉ để chọn phương án; khách sạn từ ~100 phòng nên yêu cầu hãng thang phân tích giao thông chính thức.</t>
  </si>
  <si>
    <t xml:space="preserve">Thông số đầu vào</t>
  </si>
  <si>
    <t xml:space="preserve">Giá trị</t>
  </si>
  <si>
    <t xml:space="preserve">Ghi chú</t>
  </si>
  <si>
    <t xml:space="preserve">i (bảng phụ)</t>
  </si>
  <si>
    <t xml:space="preserve">(i/N)^P</t>
  </si>
  <si>
    <t xml:space="preserve">Số tầng thang phục vụ phía trên sảnh (N)</t>
  </si>
  <si>
    <t xml:space="preserve">Ví dụ khách sạn 10 tầng, tầng 1 là sảnh</t>
  </si>
  <si>
    <t xml:space="preserve">Chiều cao tầng trung bình (m)</t>
  </si>
  <si>
    <t xml:space="preserve">Số phòng</t>
  </si>
  <si>
    <t xml:space="preserve">Số khách mỗi phòng</t>
  </si>
  <si>
    <t xml:space="preserve">Khách sạn phố 1,5-1,7; nghỉ dưỡng, hội nghị 1,8-2,0</t>
  </si>
  <si>
    <t xml:space="preserve">Tải trọng mỗi thang (kg)</t>
  </si>
  <si>
    <t xml:space="preserve">630 / 750 / 1000 / 1275 / 1600</t>
  </si>
  <si>
    <t xml:space="preserve">Tốc độ (m/s)</t>
  </si>
  <si>
    <t xml:space="preserve">1,0 đến ~6 tầng; 1,5-1,75 cho 7-12 tầng</t>
  </si>
  <si>
    <t xml:space="preserve">Số thang khách</t>
  </si>
  <si>
    <t xml:space="preserve">Hệ số chất tải cabin</t>
  </si>
  <si>
    <t xml:space="preserve">0,8 là giả định thiên an toàn; có vali thực tế thấp hơn</t>
  </si>
  <si>
    <t xml:space="preserve">Thời gian mỗi điểm dừng (s)</t>
  </si>
  <si>
    <t xml:space="preserve">Tăng tốc, giảm tốc, mở đóng cửa</t>
  </si>
  <si>
    <t xml:space="preserve">Thời gian ra/vào mỗi người (s)</t>
  </si>
  <si>
    <t xml:space="preserve">Mục tiêu năng lực chở 5 phút (%)</t>
  </si>
  <si>
    <t xml:space="preserve">CIBSE Guide D: khách sạn ~12%</t>
  </si>
  <si>
    <t xml:space="preserve">Mục tiêu khoảng cách chuyến (s)</t>
  </si>
  <si>
    <t xml:space="preserve">Phổ thông 40-45s; 5 sao nên ≤30s chờ</t>
  </si>
  <si>
    <t xml:space="preserve">Kết quả</t>
  </si>
  <si>
    <t xml:space="preserve">Giải thích</t>
  </si>
  <si>
    <t xml:space="preserve">Số người mỗi chuyến (P)</t>
  </si>
  <si>
    <t xml:space="preserve">Tải trọng / 75kg × hệ số chất tải</t>
  </si>
  <si>
    <t xml:space="preserve">Số điểm dừng kỳ vọng (S)</t>
  </si>
  <si>
    <t xml:space="preserve">Tầng đảo chiều cao nhất kỳ vọng (H)</t>
  </si>
  <si>
    <t xml:space="preserve">Cột F là bảng phụ</t>
  </si>
  <si>
    <t xml:space="preserve">Thời gian vòng chạy RTT (s)</t>
  </si>
  <si>
    <t xml:space="preserve">Khoảng cách giữa hai chuyến (s)</t>
  </si>
  <si>
    <t xml:space="preserve">RTT / số thang</t>
  </si>
  <si>
    <t xml:space="preserve">Thời gian chờ trung bình ước tính (s)</t>
  </si>
  <si>
    <t xml:space="preserve">Khoảng 0,5-0,6 lần khoảng cách chuyến</t>
  </si>
  <si>
    <t xml:space="preserve">Số khách (người)</t>
  </si>
  <si>
    <t xml:space="preserve">Năng lực chở trong 5 phút (người)</t>
  </si>
  <si>
    <t xml:space="preserve">Năng lực chở trong 5 phút (%)</t>
  </si>
  <si>
    <t xml:space="preserve">Đánh giá năng lực chở</t>
  </si>
  <si>
    <t xml:space="preserve">Đánh giá khoảng cách chuyến</t>
  </si>
  <si>
    <t xml:space="preserve">Thang dự phòng khi bảo trì</t>
  </si>
  <si>
    <t xml:space="preserve">Ví dụ đang nhập: khách sạn 10 tầng, 80 phòng, 2 thang 750kg 1,5 m/s. Thử đổi B11 = 1 và B9 = 1000 để so sánh với phương án 1 thang lớn.</t>
  </si>
  <si>
    <t xml:space="preserve">CHECKLIST HỐ THANG TRƯỚC KHI BÀN GIAO CHO HÃNG THANG</t>
  </si>
  <si>
    <t xml:space="preserve">Chọn "Đạt / Chưa đạt" ở cột D (ô vàng). Kích thước đối chiếu với bản vẽ hố thang của hãng đã chốt model.</t>
  </si>
  <si>
    <t xml:space="preserve">#</t>
  </si>
  <si>
    <t xml:space="preserve">Hạng mục</t>
  </si>
  <si>
    <t xml:space="preserve">Nội dung kiểm tra</t>
  </si>
  <si>
    <t xml:space="preserve">Đạt / Chưa đạt</t>
  </si>
  <si>
    <t xml:space="preserve">Số đo, ghi chú</t>
  </si>
  <si>
    <t xml:space="preserve">Hồ sơ</t>
  </si>
  <si>
    <t xml:space="preserve">Đã chốt hãng, model, tải trọng, tốc độ; có bản vẽ hố thang bản cuối trước khi thi công móng</t>
  </si>
  <si>
    <t xml:space="preserve">Hố pit</t>
  </si>
  <si>
    <t xml:space="preserve">Độ sâu pit đúng bản vẽ (đo từ cốt sàn hoàn thiện tầng dưới cùng)</t>
  </si>
  <si>
    <t xml:space="preserve">Đáy, thành bê tông cốt thép; đã chống thấm, ngâm nước thử không thấm</t>
  </si>
  <si>
    <t xml:space="preserve">Có thang leo xuống pit, ổ cắm, đèn chiếu sáng, công tắc dừng</t>
  </si>
  <si>
    <t xml:space="preserve">Giếng thang</t>
  </si>
  <si>
    <t xml:space="preserve">Kích thước thông thủy rộng × sâu không nhỏ hơn bản vẽ ở mọi tầng</t>
  </si>
  <si>
    <t xml:space="preserve">Độ thẳng đứng kiểm tra bằng dây dọi/laser, có biên bản đo theo từng đợt đổ</t>
  </si>
  <si>
    <t xml:space="preserve">Điểm bắt ray: tường bê tông hoặc dầm giằng bê tông đúng cao độ hãng yêu cầu</t>
  </si>
  <si>
    <t xml:space="preserve">Không có ống nước, ống gió, cáp không thuộc thang đi xuyên giếng</t>
  </si>
  <si>
    <t xml:space="preserve">Cửa tầng</t>
  </si>
  <si>
    <t xml:space="preserve">Lỗ cửa đúng rộng, cao, vị trí; có mốc cốt sàn hoàn thiện mỗi tầng</t>
  </si>
  <si>
    <t xml:space="preserve">Đỉnh hố</t>
  </si>
  <si>
    <t xml:space="preserve">Chiều cao OH đúng bản vẽ; sàn đỉnh có móc treo chịu tải</t>
  </si>
  <si>
    <t xml:space="preserve">Phòng máy</t>
  </si>
  <si>
    <t xml:space="preserve">(Nếu có) lỗ cáp, thông gió, cửa khóa được, lối lên an toàn</t>
  </si>
  <si>
    <t xml:space="preserve">Điện</t>
  </si>
  <si>
    <t xml:space="preserve">Nguồn 3 pha 380V riêng mỗi thang, aptomat riêng, thuộc phụ tải máy phát dự phòng</t>
  </si>
  <si>
    <t xml:space="preserve">Điện nhẹ, PCCC</t>
  </si>
  <si>
    <t xml:space="preserve">Chừa đường cáp liên động báo cháy, camera cabin, điện thoại, thẻ từ</t>
  </si>
  <si>
    <t xml:space="preserve">PCCC</t>
  </si>
  <si>
    <t xml:space="preserve">(Nếu có thang chữa cháy) giếng REI 120, sảnh khoang đệm ≥4m², họng chờ DN65</t>
  </si>
  <si>
    <t xml:space="preserve">Cách âm</t>
  </si>
  <si>
    <t xml:space="preserve">Giếng thang không giáp trực tiếp đầu giường phòng ngủ, hoặc đã có tường đôi/cách âm</t>
  </si>
  <si>
    <t xml:space="preserve">Số mục đạt</t>
  </si>
  <si>
    <t xml:space="preserve">LỊCH KIỂM ĐỊNH VÀ MỐC BẢO TRÌ THANG MÁY KHÁCH SẠN</t>
  </si>
  <si>
    <t xml:space="preserve">Nhập ngày kiểm định lần đầu (ô vàng). Chu kỳ theo Thông tư 12/2021/TT-BLĐTBXH Điều 9: khách sạn 2 năm/lần, thang dùng trên 15 năm 1 năm/lần. Kiểm định viên có thể rút ngắn.</t>
  </si>
  <si>
    <t xml:space="preserve">Ngày kiểm định lần đầu (đưa vào sử dụng)</t>
  </si>
  <si>
    <t xml:space="preserve">Lần</t>
  </si>
  <si>
    <t xml:space="preserve">Ngày kiểm định đến hạn</t>
  </si>
  <si>
    <t xml:space="preserve">Tuổi thang (năm)</t>
  </si>
  <si>
    <t xml:space="preserve">Chu kỳ tiếp theo (tháng)</t>
  </si>
  <si>
    <t xml:space="preserve">Đã làm (ngày)</t>
  </si>
  <si>
    <t xml:space="preserve">Lần kiểm định gần nhất sắp đến hạn</t>
  </si>
  <si>
    <t xml:space="preserve">Mốc</t>
  </si>
  <si>
    <t xml:space="preserve">Việc cần dự trù</t>
  </si>
  <si>
    <t xml:space="preserve">Hằng tháng</t>
  </si>
  <si>
    <t xml:space="preserve">Bảo trì định kỳ (vệ sinh, bôi trơn, kiểm tra phanh, khống chế vượt tốc, cửa, ARD, điện thoại cứu hộ); làm khung 10-15 giờ</t>
  </si>
  <si>
    <t xml:space="preserve">Năm 1-2</t>
  </si>
  <si>
    <t xml:space="preserve">Bảo hành hãng: ghi nhận lỗi lặp lại để xử lý trong bảo hành</t>
  </si>
  <si>
    <t xml:space="preserve">Năm 5-8</t>
  </si>
  <si>
    <t xml:space="preserve">Curoa, con lăn cửa, cảm biến cửa, nút bấm, ắc quy ARD</t>
  </si>
  <si>
    <t xml:space="preserve">Năm 8-12</t>
  </si>
  <si>
    <t xml:space="preserve">Cáp tải, puly, board điều khiển, biến tần, encoder; bộ cửa tầng thang chạy nhiều</t>
  </si>
  <si>
    <t xml:space="preserve">Năm 15+</t>
  </si>
  <si>
    <t xml:space="preserve">Kiểm định 1 năm/lần; cân nhắc hiện đại hóa hoặc thay mới</t>
  </si>
  <si>
    <t xml:space="preserve">CHI PHÍ VẬN HÀNH THANG MÁY MỖI NĂM (GIÁ THAM KHẢO)</t>
  </si>
  <si>
    <t xml:space="preserve">Nhập ô vàng. Đơn giá tham khảo thị trường 2026, chưa VAT; sửa theo hợp đồng thực tế. Liên hệ Romo Cons để được tư vấn, báo giá chi tiết.</t>
  </si>
  <si>
    <t xml:space="preserve">Số thang</t>
  </si>
  <si>
    <t xml:space="preserve">Khoản</t>
  </si>
  <si>
    <t xml:space="preserve">Đơn vị</t>
  </si>
  <si>
    <t xml:space="preserve">Thấp</t>
  </si>
  <si>
    <t xml:space="preserve">Cao</t>
  </si>
  <si>
    <t xml:space="preserve">Thấp × số thang / năm (đ)</t>
  </si>
  <si>
    <t xml:space="preserve">Cao × số thang / năm (đ)</t>
  </si>
  <si>
    <t xml:space="preserve">Hợp đồng bảo trì</t>
  </si>
  <si>
    <t xml:space="preserve">đ/thang/tháng</t>
  </si>
  <si>
    <t xml:space="preserve">Tùy hãng, số tầng, gói dịch vụ</t>
  </si>
  <si>
    <t xml:space="preserve">Điện năng</t>
  </si>
  <si>
    <t xml:space="preserve">kWh/thang/năm</t>
  </si>
  <si>
    <t xml:space="preserve">Giả định, thang 1.000kg có biến tần</t>
  </si>
  <si>
    <t xml:space="preserve">Kiểm định định kỳ (bình quân năm)</t>
  </si>
  <si>
    <t xml:space="preserve">đ/thang/năm</t>
  </si>
  <si>
    <t xml:space="preserve">Giả định; chu kỳ 2 năm</t>
  </si>
  <si>
    <t xml:space="preserve">Dự phòng sửa chữa nhỏ</t>
  </si>
  <si>
    <t xml:space="preserve">Cửa, cảm biến, ắc quy ARD</t>
  </si>
  <si>
    <t xml:space="preserve">TỔNG MỖI NĂM</t>
  </si>
  <si>
    <t xml:space="preserve">Giá điện giả định (đ/kWh)</t>
  </si>
  <si>
    <t xml:space="preserve">Chưa gồm các khoản thay lớn năm 8-12 (cáp tải khoảng 10-40 triệu, board 3-15 triệu mỗi lần, biến tần, máy kéo). Nên trích quỹ bảo trì hằng năm cho các khoản này.</t>
  </si>
  <si>
    <t xml:space="preserve">Romo Cons · Tổng thầu thi công khách sạn · romocons.vn · Nhờ kỹ sư tư vấn miễn phí qua trang romocons.vn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</si>
</sst>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"/>
    <numFmt numFmtId="166" formatCode="0.0000"/>
    <numFmt numFmtId="167" formatCode="0.0"/>
    <numFmt numFmtId="168" formatCode="0.00"/>
    <numFmt numFmtId="169" formatCode="0%"/>
    <numFmt numFmtId="170" formatCode="@"/>
    <numFmt numFmtId="171" formatCode="dd/mm/yyyy"/>
    <numFmt numFmtId="172" formatCode="#,##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00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0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2CC"/>
        <bgColor rgb="FFE2EFDA"/>
      </patternFill>
    </fill>
    <fill>
      <patternFill patternType="solid">
        <fgColor rgb="FFE2EFDA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8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8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8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7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0" fontId="7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9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0" fontId="9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1" fontId="8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1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1" fontId="9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2" fontId="8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2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2" fontId="9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6"/>
    <col collapsed="false" customWidth="true" hidden="false" outlineLevel="0" max="3" min="3" style="0" width="52"/>
    <col collapsed="false" customWidth="true" hidden="false" outlineLevel="0" max="4" min="4" style="0" width="3"/>
    <col collapsed="false" customWidth="true" hidden="false" outlineLevel="0" max="6" min="5" style="0" width="12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6.85" hidden="false" customHeight="false" outlineLevel="0" collapsed="false">
      <c r="A4" s="3" t="s">
        <v>2</v>
      </c>
      <c r="B4" s="3" t="s">
        <v>3</v>
      </c>
      <c r="C4" s="3" t="s">
        <v>4</v>
      </c>
      <c r="E4" s="3" t="s">
        <v>5</v>
      </c>
      <c r="F4" s="3" t="s">
        <v>6</v>
      </c>
    </row>
    <row r="5" customFormat="false" ht="15" hidden="false" customHeight="false" outlineLevel="0" collapsed="false">
      <c r="A5" s="4" t="s">
        <v>7</v>
      </c>
      <c r="B5" s="5" t="n">
        <v>9</v>
      </c>
      <c r="C5" s="4" t="s">
        <v>8</v>
      </c>
      <c r="E5" s="4" t="n">
        <v>1</v>
      </c>
      <c r="F5" s="6" t="n">
        <f aca="false">IF(E5&lt;$B$5,(E5/$B$5)^$B$19,0)</f>
        <v>2.32305731254188E-008</v>
      </c>
    </row>
    <row r="6" customFormat="false" ht="15" hidden="false" customHeight="false" outlineLevel="0" collapsed="false">
      <c r="A6" s="4" t="s">
        <v>9</v>
      </c>
      <c r="B6" s="7" t="n">
        <v>3.3</v>
      </c>
      <c r="C6" s="4"/>
      <c r="E6" s="4" t="n">
        <v>2</v>
      </c>
      <c r="F6" s="6" t="n">
        <f aca="false">IF(E6&lt;$B$5,(E6/$B$5)^$B$19,0)</f>
        <v>5.9470267201072E-006</v>
      </c>
    </row>
    <row r="7" customFormat="false" ht="15" hidden="false" customHeight="false" outlineLevel="0" collapsed="false">
      <c r="A7" s="4" t="s">
        <v>10</v>
      </c>
      <c r="B7" s="5" t="n">
        <v>80</v>
      </c>
      <c r="C7" s="4"/>
      <c r="E7" s="4" t="n">
        <v>3</v>
      </c>
      <c r="F7" s="6" t="n">
        <f aca="false">IF(E7&lt;$B$5,(E7/$B$5)^$B$19,0)</f>
        <v>0.000152415790275873</v>
      </c>
    </row>
    <row r="8" customFormat="false" ht="15" hidden="false" customHeight="false" outlineLevel="0" collapsed="false">
      <c r="A8" s="4" t="s">
        <v>11</v>
      </c>
      <c r="B8" s="7" t="n">
        <v>1.5</v>
      </c>
      <c r="C8" s="4" t="s">
        <v>12</v>
      </c>
      <c r="E8" s="4" t="n">
        <v>4</v>
      </c>
      <c r="F8" s="6" t="n">
        <f aca="false">IF(E8&lt;$B$5,(E8/$B$5)^$B$19,0)</f>
        <v>0.00152243884034744</v>
      </c>
    </row>
    <row r="9" customFormat="false" ht="15" hidden="false" customHeight="false" outlineLevel="0" collapsed="false">
      <c r="A9" s="4" t="s">
        <v>13</v>
      </c>
      <c r="B9" s="5" t="n">
        <v>750</v>
      </c>
      <c r="C9" s="4" t="s">
        <v>14</v>
      </c>
      <c r="E9" s="4" t="n">
        <v>5</v>
      </c>
      <c r="F9" s="6" t="n">
        <f aca="false">IF(E9&lt;$B$5,(E9/$B$5)^$B$19,0)</f>
        <v>0.00907444262711671</v>
      </c>
    </row>
    <row r="10" customFormat="false" ht="15" hidden="false" customHeight="false" outlineLevel="0" collapsed="false">
      <c r="A10" s="4" t="s">
        <v>15</v>
      </c>
      <c r="B10" s="8" t="n">
        <v>1.5</v>
      </c>
      <c r="C10" s="4" t="s">
        <v>16</v>
      </c>
      <c r="E10" s="4" t="n">
        <v>6</v>
      </c>
      <c r="F10" s="6" t="n">
        <f aca="false">IF(E10&lt;$B$5,(E10/$B$5)^$B$19,0)</f>
        <v>0.0390184423106234</v>
      </c>
    </row>
    <row r="11" customFormat="false" ht="15" hidden="false" customHeight="false" outlineLevel="0" collapsed="false">
      <c r="A11" s="4" t="s">
        <v>17</v>
      </c>
      <c r="B11" s="5" t="n">
        <v>2</v>
      </c>
      <c r="C11" s="4"/>
      <c r="E11" s="4" t="n">
        <v>7</v>
      </c>
      <c r="F11" s="6" t="n">
        <f aca="false">IF(E11&lt;$B$5,(E11/$B$5)^$B$19,0)</f>
        <v>0.133919631183987</v>
      </c>
    </row>
    <row r="12" customFormat="false" ht="15" hidden="false" customHeight="false" outlineLevel="0" collapsed="false">
      <c r="A12" s="4" t="s">
        <v>18</v>
      </c>
      <c r="B12" s="8" t="n">
        <v>0.8</v>
      </c>
      <c r="C12" s="4" t="s">
        <v>19</v>
      </c>
      <c r="E12" s="4" t="n">
        <v>8</v>
      </c>
      <c r="F12" s="6" t="n">
        <f aca="false">IF(E12&lt;$B$5,(E12/$B$5)^$B$19,0)</f>
        <v>0.389744343128946</v>
      </c>
    </row>
    <row r="13" customFormat="false" ht="15" hidden="false" customHeight="false" outlineLevel="0" collapsed="false">
      <c r="A13" s="4" t="s">
        <v>20</v>
      </c>
      <c r="B13" s="5" t="n">
        <v>10</v>
      </c>
      <c r="C13" s="4" t="s">
        <v>21</v>
      </c>
      <c r="E13" s="4" t="n">
        <v>9</v>
      </c>
      <c r="F13" s="6" t="n">
        <f aca="false">IF(E13&lt;$B$5,(E13/$B$5)^$B$19,0)</f>
        <v>0</v>
      </c>
    </row>
    <row r="14" customFormat="false" ht="15" hidden="false" customHeight="false" outlineLevel="0" collapsed="false">
      <c r="A14" s="4" t="s">
        <v>22</v>
      </c>
      <c r="B14" s="7" t="n">
        <v>1.2</v>
      </c>
      <c r="C14" s="4"/>
      <c r="E14" s="4" t="n">
        <v>10</v>
      </c>
      <c r="F14" s="6" t="n">
        <f aca="false">IF(E14&lt;$B$5,(E14/$B$5)^$B$19,0)</f>
        <v>0</v>
      </c>
    </row>
    <row r="15" customFormat="false" ht="15" hidden="false" customHeight="false" outlineLevel="0" collapsed="false">
      <c r="A15" s="4" t="s">
        <v>23</v>
      </c>
      <c r="B15" s="9" t="n">
        <v>0.12</v>
      </c>
      <c r="C15" s="4" t="s">
        <v>24</v>
      </c>
      <c r="E15" s="4" t="n">
        <v>11</v>
      </c>
      <c r="F15" s="6" t="n">
        <f aca="false">IF(E15&lt;$B$5,(E15/$B$5)^$B$19,0)</f>
        <v>0</v>
      </c>
    </row>
    <row r="16" customFormat="false" ht="15" hidden="false" customHeight="false" outlineLevel="0" collapsed="false">
      <c r="A16" s="4" t="s">
        <v>25</v>
      </c>
      <c r="B16" s="5" t="n">
        <v>45</v>
      </c>
      <c r="C16" s="4" t="s">
        <v>26</v>
      </c>
      <c r="E16" s="4" t="n">
        <v>12</v>
      </c>
      <c r="F16" s="6" t="n">
        <f aca="false">IF(E16&lt;$B$5,(E16/$B$5)^$B$19,0)</f>
        <v>0</v>
      </c>
    </row>
    <row r="17" customFormat="false" ht="15" hidden="false" customHeight="false" outlineLevel="0" collapsed="false">
      <c r="E17" s="4" t="n">
        <v>13</v>
      </c>
      <c r="F17" s="6" t="n">
        <f aca="false">IF(E17&lt;$B$5,(E17/$B$5)^$B$19,0)</f>
        <v>0</v>
      </c>
    </row>
    <row r="18" customFormat="false" ht="15" hidden="false" customHeight="false" outlineLevel="0" collapsed="false">
      <c r="A18" s="3" t="s">
        <v>27</v>
      </c>
      <c r="B18" s="3" t="s">
        <v>3</v>
      </c>
      <c r="C18" s="3" t="s">
        <v>28</v>
      </c>
      <c r="E18" s="4" t="n">
        <v>14</v>
      </c>
      <c r="F18" s="6" t="n">
        <f aca="false">IF(E18&lt;$B$5,(E18/$B$5)^$B$19,0)</f>
        <v>0</v>
      </c>
    </row>
    <row r="19" customFormat="false" ht="15" hidden="false" customHeight="false" outlineLevel="0" collapsed="false">
      <c r="A19" s="4" t="s">
        <v>29</v>
      </c>
      <c r="B19" s="10" t="n">
        <f aca="false">ROUNDDOWN(B9/75,0)*B12</f>
        <v>8</v>
      </c>
      <c r="C19" s="4" t="s">
        <v>30</v>
      </c>
      <c r="E19" s="4" t="n">
        <v>15</v>
      </c>
      <c r="F19" s="6" t="n">
        <f aca="false">IF(E19&lt;$B$5,(E19/$B$5)^$B$19,0)</f>
        <v>0</v>
      </c>
    </row>
    <row r="20" customFormat="false" ht="15" hidden="false" customHeight="false" outlineLevel="0" collapsed="false">
      <c r="A20" s="4" t="s">
        <v>31</v>
      </c>
      <c r="B20" s="10" t="n">
        <f aca="false">B5*(1-(1-1/B5)^B19)</f>
        <v>5.49230091183949</v>
      </c>
      <c r="C20" s="4"/>
      <c r="E20" s="4" t="n">
        <v>16</v>
      </c>
      <c r="F20" s="6" t="n">
        <f aca="false">IF(E20&lt;$B$5,(E20/$B$5)^$B$19,0)</f>
        <v>0</v>
      </c>
    </row>
    <row r="21" customFormat="false" ht="15" hidden="false" customHeight="false" outlineLevel="0" collapsed="false">
      <c r="A21" s="4" t="s">
        <v>32</v>
      </c>
      <c r="B21" s="10" t="n">
        <f aca="false">B5-SUM(F5:F44)</f>
        <v>8.42656231586141</v>
      </c>
      <c r="C21" s="4" t="s">
        <v>33</v>
      </c>
      <c r="E21" s="4" t="n">
        <v>17</v>
      </c>
      <c r="F21" s="6" t="n">
        <f aca="false">IF(E21&lt;$B$5,(E21/$B$5)^$B$19,0)</f>
        <v>0</v>
      </c>
    </row>
    <row r="22" customFormat="false" ht="15" hidden="false" customHeight="false" outlineLevel="0" collapsed="false">
      <c r="A22" s="4" t="s">
        <v>34</v>
      </c>
      <c r="B22" s="11" t="n">
        <f aca="false">2*B21*B6/B10+(B20+1)*B13+2*B19*B14</f>
        <v>121.199883308185</v>
      </c>
      <c r="C22" s="4"/>
      <c r="E22" s="4" t="n">
        <v>18</v>
      </c>
      <c r="F22" s="6" t="n">
        <f aca="false">IF(E22&lt;$B$5,(E22/$B$5)^$B$19,0)</f>
        <v>0</v>
      </c>
    </row>
    <row r="23" customFormat="false" ht="15" hidden="false" customHeight="false" outlineLevel="0" collapsed="false">
      <c r="A23" s="4" t="s">
        <v>35</v>
      </c>
      <c r="B23" s="11" t="n">
        <f aca="false">B22/B11</f>
        <v>60.5999416540926</v>
      </c>
      <c r="C23" s="4" t="s">
        <v>36</v>
      </c>
      <c r="E23" s="4" t="n">
        <v>19</v>
      </c>
      <c r="F23" s="6" t="n">
        <f aca="false">IF(E23&lt;$B$5,(E23/$B$5)^$B$19,0)</f>
        <v>0</v>
      </c>
    </row>
    <row r="24" customFormat="false" ht="15" hidden="false" customHeight="false" outlineLevel="0" collapsed="false">
      <c r="A24" s="4" t="s">
        <v>37</v>
      </c>
      <c r="B24" s="12" t="str">
        <f aca="false">ROUND(B23*0.5,0)&amp;" - "&amp;ROUND(B23*0.6,0)</f>
        <v>30 - 36</v>
      </c>
      <c r="C24" s="4" t="s">
        <v>38</v>
      </c>
      <c r="E24" s="4" t="n">
        <v>20</v>
      </c>
      <c r="F24" s="6" t="n">
        <f aca="false">IF(E24&lt;$B$5,(E24/$B$5)^$B$19,0)</f>
        <v>0</v>
      </c>
    </row>
    <row r="25" customFormat="false" ht="15" hidden="false" customHeight="false" outlineLevel="0" collapsed="false">
      <c r="A25" s="4" t="s">
        <v>39</v>
      </c>
      <c r="B25" s="11" t="n">
        <f aca="false">B7*B8</f>
        <v>120</v>
      </c>
      <c r="C25" s="4"/>
      <c r="E25" s="4" t="n">
        <v>21</v>
      </c>
      <c r="F25" s="6" t="n">
        <f aca="false">IF(E25&lt;$B$5,(E25/$B$5)^$B$19,0)</f>
        <v>0</v>
      </c>
    </row>
    <row r="26" customFormat="false" ht="15" hidden="false" customHeight="false" outlineLevel="0" collapsed="false">
      <c r="A26" s="4" t="s">
        <v>40</v>
      </c>
      <c r="B26" s="11" t="n">
        <f aca="false">300*B19*B11/B22</f>
        <v>39.603998526918</v>
      </c>
      <c r="C26" s="4"/>
      <c r="E26" s="4" t="n">
        <v>22</v>
      </c>
      <c r="F26" s="6" t="n">
        <f aca="false">IF(E26&lt;$B$5,(E26/$B$5)^$B$19,0)</f>
        <v>0</v>
      </c>
    </row>
    <row r="27" customFormat="false" ht="15" hidden="false" customHeight="false" outlineLevel="0" collapsed="false">
      <c r="A27" s="13" t="s">
        <v>41</v>
      </c>
      <c r="B27" s="14" t="n">
        <f aca="false">B26/B25</f>
        <v>0.33003332105765</v>
      </c>
      <c r="C27" s="4"/>
      <c r="E27" s="4" t="n">
        <v>23</v>
      </c>
      <c r="F27" s="6" t="n">
        <f aca="false">IF(E27&lt;$B$5,(E27/$B$5)^$B$19,0)</f>
        <v>0</v>
      </c>
    </row>
    <row r="28" customFormat="false" ht="15" hidden="false" customHeight="false" outlineLevel="0" collapsed="false">
      <c r="A28" s="13" t="s">
        <v>42</v>
      </c>
      <c r="B28" s="15" t="str">
        <f aca="false">IF(B27&gt;=B15,"Đạt","Chưa đạt: tăng số thang hoặc tải trọng")</f>
        <v>Đạt</v>
      </c>
      <c r="C28" s="4"/>
      <c r="E28" s="4" t="n">
        <v>24</v>
      </c>
      <c r="F28" s="6" t="n">
        <f aca="false">IF(E28&lt;$B$5,(E28/$B$5)^$B$19,0)</f>
        <v>0</v>
      </c>
    </row>
    <row r="29" customFormat="false" ht="15" hidden="false" customHeight="false" outlineLevel="0" collapsed="false">
      <c r="A29" s="13" t="s">
        <v>43</v>
      </c>
      <c r="B29" s="15" t="str">
        <f aca="false">IF(B23&lt;=B16,"Đạt",IF(B23&lt;=B16*1.5,"Tạm chấp nhận","Khách chờ lâu: nên thêm thang"))</f>
        <v>Tạm chấp nhận</v>
      </c>
      <c r="C29" s="4"/>
      <c r="E29" s="4" t="n">
        <v>25</v>
      </c>
      <c r="F29" s="6" t="n">
        <f aca="false">IF(E29&lt;$B$5,(E29/$B$5)^$B$19,0)</f>
        <v>0</v>
      </c>
    </row>
    <row r="30" customFormat="false" ht="15" hidden="false" customHeight="false" outlineLevel="0" collapsed="false">
      <c r="A30" s="13" t="s">
        <v>44</v>
      </c>
      <c r="B30" s="15" t="str">
        <f aca="false">IF(B11&gt;=2,"Có","Không: thang dừng là cả tòa đi bộ")</f>
        <v>Có</v>
      </c>
      <c r="C30" s="4"/>
      <c r="E30" s="4" t="n">
        <v>26</v>
      </c>
      <c r="F30" s="6" t="n">
        <f aca="false">IF(E30&lt;$B$5,(E30/$B$5)^$B$19,0)</f>
        <v>0</v>
      </c>
    </row>
    <row r="31" customFormat="false" ht="30" hidden="false" customHeight="true" outlineLevel="0" collapsed="false">
      <c r="A31" s="4" t="s">
        <v>45</v>
      </c>
      <c r="B31" s="4"/>
      <c r="C31" s="4"/>
      <c r="E31" s="4" t="n">
        <v>27</v>
      </c>
      <c r="F31" s="6" t="n">
        <f aca="false">IF(E31&lt;$B$5,(E31/$B$5)^$B$19,0)</f>
        <v>0</v>
      </c>
    </row>
    <row r="32" customFormat="false" ht="15" hidden="false" customHeight="false" outlineLevel="0" collapsed="false">
      <c r="E32" s="4" t="n">
        <v>28</v>
      </c>
      <c r="F32" s="6" t="n">
        <f aca="false">IF(E32&lt;$B$5,(E32/$B$5)^$B$19,0)</f>
        <v>0</v>
      </c>
    </row>
    <row r="33" customFormat="false" ht="15" hidden="false" customHeight="false" outlineLevel="0" collapsed="false">
      <c r="E33" s="4" t="n">
        <v>29</v>
      </c>
      <c r="F33" s="6" t="n">
        <f aca="false">IF(E33&lt;$B$5,(E33/$B$5)^$B$19,0)</f>
        <v>0</v>
      </c>
    </row>
    <row r="34" customFormat="false" ht="15" hidden="false" customHeight="false" outlineLevel="0" collapsed="false">
      <c r="E34" s="4" t="n">
        <v>30</v>
      </c>
      <c r="F34" s="6" t="n">
        <f aca="false">IF(E34&lt;$B$5,(E34/$B$5)^$B$19,0)</f>
        <v>0</v>
      </c>
    </row>
    <row r="35" customFormat="false" ht="15" hidden="false" customHeight="false" outlineLevel="0" collapsed="false">
      <c r="E35" s="4" t="n">
        <v>31</v>
      </c>
      <c r="F35" s="6" t="n">
        <f aca="false">IF(E35&lt;$B$5,(E35/$B$5)^$B$19,0)</f>
        <v>0</v>
      </c>
    </row>
    <row r="36" customFormat="false" ht="15" hidden="false" customHeight="false" outlineLevel="0" collapsed="false">
      <c r="E36" s="4" t="n">
        <v>32</v>
      </c>
      <c r="F36" s="6" t="n">
        <f aca="false">IF(E36&lt;$B$5,(E36/$B$5)^$B$19,0)</f>
        <v>0</v>
      </c>
    </row>
    <row r="37" customFormat="false" ht="15" hidden="false" customHeight="false" outlineLevel="0" collapsed="false">
      <c r="E37" s="4" t="n">
        <v>33</v>
      </c>
      <c r="F37" s="6" t="n">
        <f aca="false">IF(E37&lt;$B$5,(E37/$B$5)^$B$19,0)</f>
        <v>0</v>
      </c>
    </row>
    <row r="38" customFormat="false" ht="15" hidden="false" customHeight="false" outlineLevel="0" collapsed="false">
      <c r="E38" s="4" t="n">
        <v>34</v>
      </c>
      <c r="F38" s="6" t="n">
        <f aca="false">IF(E38&lt;$B$5,(E38/$B$5)^$B$19,0)</f>
        <v>0</v>
      </c>
    </row>
    <row r="39" customFormat="false" ht="15" hidden="false" customHeight="false" outlineLevel="0" collapsed="false">
      <c r="E39" s="4" t="n">
        <v>35</v>
      </c>
      <c r="F39" s="6" t="n">
        <f aca="false">IF(E39&lt;$B$5,(E39/$B$5)^$B$19,0)</f>
        <v>0</v>
      </c>
    </row>
    <row r="40" customFormat="false" ht="15" hidden="false" customHeight="false" outlineLevel="0" collapsed="false">
      <c r="E40" s="4" t="n">
        <v>36</v>
      </c>
      <c r="F40" s="6" t="n">
        <f aca="false">IF(E40&lt;$B$5,(E40/$B$5)^$B$19,0)</f>
        <v>0</v>
      </c>
    </row>
    <row r="41" customFormat="false" ht="15" hidden="false" customHeight="false" outlineLevel="0" collapsed="false">
      <c r="E41" s="4" t="n">
        <v>37</v>
      </c>
      <c r="F41" s="6" t="n">
        <f aca="false">IF(E41&lt;$B$5,(E41/$B$5)^$B$19,0)</f>
        <v>0</v>
      </c>
    </row>
    <row r="42" customFormat="false" ht="15" hidden="false" customHeight="false" outlineLevel="0" collapsed="false">
      <c r="E42" s="4" t="n">
        <v>38</v>
      </c>
      <c r="F42" s="6" t="n">
        <f aca="false">IF(E42&lt;$B$5,(E42/$B$5)^$B$19,0)</f>
        <v>0</v>
      </c>
    </row>
    <row r="43" customFormat="false" ht="15" hidden="false" customHeight="false" outlineLevel="0" collapsed="false">
      <c r="E43" s="4" t="n">
        <v>39</v>
      </c>
      <c r="F43" s="6" t="n">
        <f aca="false">IF(E43&lt;$B$5,(E43/$B$5)^$B$19,0)</f>
        <v>0</v>
      </c>
    </row>
    <row r="44" customFormat="false" ht="15" hidden="false" customHeight="false" outlineLevel="0" collapsed="false">
      <c r="E44" s="4" t="n">
        <v>40</v>
      </c>
      <c r="F44" s="6" t="n">
        <f aca="false">IF(E44&lt;$B$5,(E44/$B$5)^$B$19,0)</f>
        <v>0</v>
      </c>
    </row>
  </sheetData>
  <mergeCells count="1">
    <mergeCell ref="A31:C3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5"/>
    <col collapsed="false" customWidth="true" hidden="false" outlineLevel="0" max="3" min="3" style="0" width="72"/>
    <col collapsed="false" customWidth="true" hidden="false" outlineLevel="0" max="4" min="4" style="0" width="14"/>
    <col collapsed="false" customWidth="true" hidden="false" outlineLevel="0" max="5" min="5" style="0" width="28"/>
  </cols>
  <sheetData>
    <row r="1" customFormat="false" ht="17.35" hidden="false" customHeight="false" outlineLevel="0" collapsed="false">
      <c r="A1" s="1" t="s">
        <v>46</v>
      </c>
    </row>
    <row r="2" customFormat="false" ht="15" hidden="false" customHeight="false" outlineLevel="0" collapsed="false">
      <c r="A2" s="2" t="s">
        <v>47</v>
      </c>
    </row>
    <row r="4" customFormat="false" ht="26.85" hidden="false" customHeight="false" outlineLevel="0" collapsed="false">
      <c r="A4" s="3" t="s">
        <v>48</v>
      </c>
      <c r="B4" s="3" t="s">
        <v>49</v>
      </c>
      <c r="C4" s="3" t="s">
        <v>50</v>
      </c>
      <c r="D4" s="3" t="s">
        <v>51</v>
      </c>
      <c r="E4" s="3" t="s">
        <v>52</v>
      </c>
    </row>
    <row r="5" customFormat="false" ht="26.85" hidden="false" customHeight="false" outlineLevel="0" collapsed="false">
      <c r="A5" s="4" t="n">
        <v>1</v>
      </c>
      <c r="B5" s="4" t="s">
        <v>53</v>
      </c>
      <c r="C5" s="4" t="s">
        <v>54</v>
      </c>
      <c r="D5" s="16"/>
      <c r="E5" s="16"/>
    </row>
    <row r="6" customFormat="false" ht="15" hidden="false" customHeight="false" outlineLevel="0" collapsed="false">
      <c r="A6" s="4" t="n">
        <v>2</v>
      </c>
      <c r="B6" s="4" t="s">
        <v>55</v>
      </c>
      <c r="C6" s="4" t="s">
        <v>56</v>
      </c>
      <c r="D6" s="16"/>
      <c r="E6" s="16"/>
    </row>
    <row r="7" customFormat="false" ht="15" hidden="false" customHeight="false" outlineLevel="0" collapsed="false">
      <c r="A7" s="4" t="n">
        <v>3</v>
      </c>
      <c r="B7" s="4" t="s">
        <v>55</v>
      </c>
      <c r="C7" s="4" t="s">
        <v>57</v>
      </c>
      <c r="D7" s="16"/>
      <c r="E7" s="16"/>
    </row>
    <row r="8" customFormat="false" ht="15" hidden="false" customHeight="false" outlineLevel="0" collapsed="false">
      <c r="A8" s="4" t="n">
        <v>4</v>
      </c>
      <c r="B8" s="4" t="s">
        <v>55</v>
      </c>
      <c r="C8" s="4" t="s">
        <v>58</v>
      </c>
      <c r="D8" s="16"/>
      <c r="E8" s="16"/>
    </row>
    <row r="9" customFormat="false" ht="15" hidden="false" customHeight="false" outlineLevel="0" collapsed="false">
      <c r="A9" s="4" t="n">
        <v>5</v>
      </c>
      <c r="B9" s="4" t="s">
        <v>59</v>
      </c>
      <c r="C9" s="4" t="s">
        <v>60</v>
      </c>
      <c r="D9" s="16"/>
      <c r="E9" s="16"/>
    </row>
    <row r="10" customFormat="false" ht="15" hidden="false" customHeight="false" outlineLevel="0" collapsed="false">
      <c r="A10" s="4" t="n">
        <v>6</v>
      </c>
      <c r="B10" s="4" t="s">
        <v>59</v>
      </c>
      <c r="C10" s="4" t="s">
        <v>61</v>
      </c>
      <c r="D10" s="16"/>
      <c r="E10" s="16"/>
    </row>
    <row r="11" customFormat="false" ht="26.85" hidden="false" customHeight="false" outlineLevel="0" collapsed="false">
      <c r="A11" s="4" t="n">
        <v>7</v>
      </c>
      <c r="B11" s="4" t="s">
        <v>59</v>
      </c>
      <c r="C11" s="4" t="s">
        <v>62</v>
      </c>
      <c r="D11" s="16"/>
      <c r="E11" s="16"/>
    </row>
    <row r="12" customFormat="false" ht="15" hidden="false" customHeight="false" outlineLevel="0" collapsed="false">
      <c r="A12" s="4" t="n">
        <v>8</v>
      </c>
      <c r="B12" s="4" t="s">
        <v>59</v>
      </c>
      <c r="C12" s="4" t="s">
        <v>63</v>
      </c>
      <c r="D12" s="16"/>
      <c r="E12" s="16"/>
    </row>
    <row r="13" customFormat="false" ht="15" hidden="false" customHeight="false" outlineLevel="0" collapsed="false">
      <c r="A13" s="4" t="n">
        <v>9</v>
      </c>
      <c r="B13" s="4" t="s">
        <v>64</v>
      </c>
      <c r="C13" s="4" t="s">
        <v>65</v>
      </c>
      <c r="D13" s="16"/>
      <c r="E13" s="16"/>
    </row>
    <row r="14" customFormat="false" ht="15" hidden="false" customHeight="false" outlineLevel="0" collapsed="false">
      <c r="A14" s="4" t="n">
        <v>10</v>
      </c>
      <c r="B14" s="4" t="s">
        <v>66</v>
      </c>
      <c r="C14" s="4" t="s">
        <v>67</v>
      </c>
      <c r="D14" s="16"/>
      <c r="E14" s="16"/>
    </row>
    <row r="15" customFormat="false" ht="15" hidden="false" customHeight="false" outlineLevel="0" collapsed="false">
      <c r="A15" s="4" t="n">
        <v>11</v>
      </c>
      <c r="B15" s="4" t="s">
        <v>68</v>
      </c>
      <c r="C15" s="4" t="s">
        <v>69</v>
      </c>
      <c r="D15" s="16"/>
      <c r="E15" s="16"/>
    </row>
    <row r="16" customFormat="false" ht="26.85" hidden="false" customHeight="false" outlineLevel="0" collapsed="false">
      <c r="A16" s="4" t="n">
        <v>12</v>
      </c>
      <c r="B16" s="4" t="s">
        <v>70</v>
      </c>
      <c r="C16" s="4" t="s">
        <v>71</v>
      </c>
      <c r="D16" s="16"/>
      <c r="E16" s="16"/>
    </row>
    <row r="17" customFormat="false" ht="26.85" hidden="false" customHeight="false" outlineLevel="0" collapsed="false">
      <c r="A17" s="4" t="n">
        <v>13</v>
      </c>
      <c r="B17" s="4" t="s">
        <v>72</v>
      </c>
      <c r="C17" s="4" t="s">
        <v>73</v>
      </c>
      <c r="D17" s="16"/>
      <c r="E17" s="16"/>
    </row>
    <row r="18" customFormat="false" ht="26.85" hidden="false" customHeight="false" outlineLevel="0" collapsed="false">
      <c r="A18" s="4" t="n">
        <v>14</v>
      </c>
      <c r="B18" s="4" t="s">
        <v>74</v>
      </c>
      <c r="C18" s="4" t="s">
        <v>75</v>
      </c>
      <c r="D18" s="16"/>
      <c r="E18" s="16"/>
    </row>
    <row r="19" customFormat="false" ht="26.85" hidden="false" customHeight="false" outlineLevel="0" collapsed="false">
      <c r="A19" s="4" t="n">
        <v>15</v>
      </c>
      <c r="B19" s="4" t="s">
        <v>76</v>
      </c>
      <c r="C19" s="4" t="s">
        <v>77</v>
      </c>
      <c r="D19" s="16"/>
      <c r="E19" s="16"/>
    </row>
    <row r="21" customFormat="false" ht="15" hidden="false" customHeight="false" outlineLevel="0" collapsed="false">
      <c r="C21" s="13" t="s">
        <v>78</v>
      </c>
      <c r="D21" s="13" t="str">
        <f aca="false">COUNTIF(D5:D19,"Đạt")&amp;"/"&amp;15</f>
        <v>0/15</v>
      </c>
    </row>
  </sheetData>
  <dataValidations count="1">
    <dataValidation allowBlank="true" errorStyle="stop" operator="between" showDropDown="false" showErrorMessage="false" showInputMessage="false" sqref="D5:D19" type="list">
      <formula1>"Đạt,Chưa đạt"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2"/>
    <col collapsed="false" customWidth="true" hidden="false" outlineLevel="0" max="3" min="3" style="0" width="16"/>
    <col collapsed="false" customWidth="true" hidden="false" outlineLevel="0" max="4" min="4" style="0" width="22"/>
    <col collapsed="false" customWidth="true" hidden="false" outlineLevel="0" max="5" min="5" style="0" width="18"/>
  </cols>
  <sheetData>
    <row r="1" customFormat="false" ht="17.35" hidden="false" customHeight="false" outlineLevel="0" collapsed="false">
      <c r="A1" s="1" t="s">
        <v>79</v>
      </c>
    </row>
    <row r="2" customFormat="false" ht="15" hidden="false" customHeight="false" outlineLevel="0" collapsed="false">
      <c r="A2" s="2" t="s">
        <v>80</v>
      </c>
    </row>
    <row r="4" customFormat="false" ht="26.85" hidden="false" customHeight="false" outlineLevel="0" collapsed="false">
      <c r="A4" s="13" t="s">
        <v>81</v>
      </c>
      <c r="B4" s="17" t="n">
        <v>46447</v>
      </c>
    </row>
    <row r="6" customFormat="false" ht="26.85" hidden="false" customHeight="false" outlineLevel="0" collapsed="false">
      <c r="A6" s="3" t="s">
        <v>82</v>
      </c>
      <c r="B6" s="3" t="s">
        <v>83</v>
      </c>
      <c r="C6" s="3" t="s">
        <v>84</v>
      </c>
      <c r="D6" s="3" t="s">
        <v>85</v>
      </c>
      <c r="E6" s="3" t="s">
        <v>86</v>
      </c>
    </row>
    <row r="7" customFormat="false" ht="15" hidden="false" customHeight="false" outlineLevel="0" collapsed="false">
      <c r="A7" s="4" t="n">
        <v>1</v>
      </c>
      <c r="B7" s="18" t="n">
        <f aca="false">B4</f>
        <v>46447</v>
      </c>
      <c r="C7" s="19" t="n">
        <f aca="false">ROUND(YEARFRAC($B$4,B7),1)</f>
        <v>0</v>
      </c>
      <c r="D7" s="20" t="n">
        <f aca="false">IF(YEARFRAC($B$4,B7)&gt;15,12,24)</f>
        <v>24</v>
      </c>
      <c r="E7" s="17"/>
    </row>
    <row r="8" customFormat="false" ht="15" hidden="false" customHeight="false" outlineLevel="0" collapsed="false">
      <c r="A8" s="4" t="n">
        <v>2</v>
      </c>
      <c r="B8" s="18" t="n">
        <f aca="false">EDATE(B7,D7)</f>
        <v>47178</v>
      </c>
      <c r="C8" s="19" t="n">
        <f aca="false">ROUND(YEARFRAC($B$4,B8),1)</f>
        <v>2</v>
      </c>
      <c r="D8" s="20" t="n">
        <f aca="false">IF(YEARFRAC($B$4,B8)&gt;15,12,24)</f>
        <v>24</v>
      </c>
      <c r="E8" s="17"/>
    </row>
    <row r="9" customFormat="false" ht="15" hidden="false" customHeight="false" outlineLevel="0" collapsed="false">
      <c r="A9" s="4" t="n">
        <v>3</v>
      </c>
      <c r="B9" s="18" t="n">
        <f aca="false">EDATE(B8,D8)</f>
        <v>47908</v>
      </c>
      <c r="C9" s="19" t="n">
        <f aca="false">ROUND(YEARFRAC($B$4,B9),1)</f>
        <v>4</v>
      </c>
      <c r="D9" s="20" t="n">
        <f aca="false">IF(YEARFRAC($B$4,B9)&gt;15,12,24)</f>
        <v>24</v>
      </c>
      <c r="E9" s="17"/>
    </row>
    <row r="10" customFormat="false" ht="15" hidden="false" customHeight="false" outlineLevel="0" collapsed="false">
      <c r="A10" s="4" t="n">
        <v>4</v>
      </c>
      <c r="B10" s="18" t="n">
        <f aca="false">EDATE(B9,D9)</f>
        <v>48639</v>
      </c>
      <c r="C10" s="19" t="n">
        <f aca="false">ROUND(YEARFRAC($B$4,B10),1)</f>
        <v>6</v>
      </c>
      <c r="D10" s="20" t="n">
        <f aca="false">IF(YEARFRAC($B$4,B10)&gt;15,12,24)</f>
        <v>24</v>
      </c>
      <c r="E10" s="17"/>
    </row>
    <row r="11" customFormat="false" ht="15" hidden="false" customHeight="false" outlineLevel="0" collapsed="false">
      <c r="A11" s="4" t="n">
        <v>5</v>
      </c>
      <c r="B11" s="18" t="n">
        <f aca="false">EDATE(B10,D10)</f>
        <v>49369</v>
      </c>
      <c r="C11" s="19" t="n">
        <f aca="false">ROUND(YEARFRAC($B$4,B11),1)</f>
        <v>8</v>
      </c>
      <c r="D11" s="20" t="n">
        <f aca="false">IF(YEARFRAC($B$4,B11)&gt;15,12,24)</f>
        <v>24</v>
      </c>
      <c r="E11" s="17"/>
    </row>
    <row r="12" customFormat="false" ht="15" hidden="false" customHeight="false" outlineLevel="0" collapsed="false">
      <c r="A12" s="4" t="n">
        <v>6</v>
      </c>
      <c r="B12" s="18" t="n">
        <f aca="false">EDATE(B11,D11)</f>
        <v>50100</v>
      </c>
      <c r="C12" s="19" t="n">
        <f aca="false">ROUND(YEARFRAC($B$4,B12),1)</f>
        <v>10</v>
      </c>
      <c r="D12" s="20" t="n">
        <f aca="false">IF(YEARFRAC($B$4,B12)&gt;15,12,24)</f>
        <v>24</v>
      </c>
      <c r="E12" s="17"/>
    </row>
    <row r="13" customFormat="false" ht="15" hidden="false" customHeight="false" outlineLevel="0" collapsed="false">
      <c r="A13" s="4" t="n">
        <v>7</v>
      </c>
      <c r="B13" s="18" t="n">
        <f aca="false">EDATE(B12,D12)</f>
        <v>50830</v>
      </c>
      <c r="C13" s="19" t="n">
        <f aca="false">ROUND(YEARFRAC($B$4,B13),1)</f>
        <v>12</v>
      </c>
      <c r="D13" s="20" t="n">
        <f aca="false">IF(YEARFRAC($B$4,B13)&gt;15,12,24)</f>
        <v>24</v>
      </c>
      <c r="E13" s="17"/>
    </row>
    <row r="14" customFormat="false" ht="15" hidden="false" customHeight="false" outlineLevel="0" collapsed="false">
      <c r="A14" s="4" t="n">
        <v>8</v>
      </c>
      <c r="B14" s="18" t="n">
        <f aca="false">EDATE(B13,D13)</f>
        <v>51561</v>
      </c>
      <c r="C14" s="19" t="n">
        <f aca="false">ROUND(YEARFRAC($B$4,B14),1)</f>
        <v>14</v>
      </c>
      <c r="D14" s="20" t="n">
        <f aca="false">IF(YEARFRAC($B$4,B14)&gt;15,12,24)</f>
        <v>24</v>
      </c>
      <c r="E14" s="17"/>
    </row>
    <row r="15" customFormat="false" ht="15" hidden="false" customHeight="false" outlineLevel="0" collapsed="false">
      <c r="A15" s="4" t="n">
        <v>9</v>
      </c>
      <c r="B15" s="18" t="n">
        <f aca="false">EDATE(B14,D14)</f>
        <v>52291</v>
      </c>
      <c r="C15" s="19" t="n">
        <f aca="false">ROUND(YEARFRAC($B$4,B15),1)</f>
        <v>16</v>
      </c>
      <c r="D15" s="20" t="n">
        <f aca="false">IF(YEARFRAC($B$4,B15)&gt;15,12,24)</f>
        <v>12</v>
      </c>
      <c r="E15" s="17"/>
    </row>
    <row r="16" customFormat="false" ht="15" hidden="false" customHeight="false" outlineLevel="0" collapsed="false">
      <c r="A16" s="4" t="n">
        <v>10</v>
      </c>
      <c r="B16" s="18" t="n">
        <f aca="false">EDATE(B15,D15)</f>
        <v>52657</v>
      </c>
      <c r="C16" s="19" t="n">
        <f aca="false">ROUND(YEARFRAC($B$4,B16),1)</f>
        <v>17</v>
      </c>
      <c r="D16" s="20" t="n">
        <f aca="false">IF(YEARFRAC($B$4,B16)&gt;15,12,24)</f>
        <v>12</v>
      </c>
      <c r="E16" s="17"/>
    </row>
    <row r="17" customFormat="false" ht="15" hidden="false" customHeight="false" outlineLevel="0" collapsed="false">
      <c r="A17" s="4" t="n">
        <v>11</v>
      </c>
      <c r="B17" s="18" t="n">
        <f aca="false">EDATE(B16,D16)</f>
        <v>53022</v>
      </c>
      <c r="C17" s="19" t="n">
        <f aca="false">ROUND(YEARFRAC($B$4,B17),1)</f>
        <v>18</v>
      </c>
      <c r="D17" s="20" t="n">
        <f aca="false">IF(YEARFRAC($B$4,B17)&gt;15,12,24)</f>
        <v>12</v>
      </c>
      <c r="E17" s="17"/>
    </row>
    <row r="18" customFormat="false" ht="15" hidden="false" customHeight="false" outlineLevel="0" collapsed="false">
      <c r="A18" s="4" t="n">
        <v>12</v>
      </c>
      <c r="B18" s="18" t="n">
        <f aca="false">EDATE(B17,D17)</f>
        <v>53387</v>
      </c>
      <c r="C18" s="19" t="n">
        <f aca="false">ROUND(YEARFRAC($B$4,B18),1)</f>
        <v>19</v>
      </c>
      <c r="D18" s="20" t="n">
        <f aca="false">IF(YEARFRAC($B$4,B18)&gt;15,12,24)</f>
        <v>12</v>
      </c>
      <c r="E18" s="17"/>
    </row>
    <row r="19" customFormat="false" ht="15" hidden="false" customHeight="false" outlineLevel="0" collapsed="false">
      <c r="A19" s="4" t="n">
        <v>13</v>
      </c>
      <c r="B19" s="18" t="n">
        <f aca="false">EDATE(B18,D18)</f>
        <v>53752</v>
      </c>
      <c r="C19" s="19" t="n">
        <f aca="false">ROUND(YEARFRAC($B$4,B19),1)</f>
        <v>20</v>
      </c>
      <c r="D19" s="20" t="n">
        <f aca="false">IF(YEARFRAC($B$4,B19)&gt;15,12,24)</f>
        <v>12</v>
      </c>
      <c r="E19" s="17"/>
    </row>
    <row r="20" customFormat="false" ht="15" hidden="false" customHeight="false" outlineLevel="0" collapsed="false">
      <c r="A20" s="4" t="n">
        <v>14</v>
      </c>
      <c r="B20" s="18" t="n">
        <f aca="false">EDATE(B19,D19)</f>
        <v>54118</v>
      </c>
      <c r="C20" s="19" t="n">
        <f aca="false">ROUND(YEARFRAC($B$4,B20),1)</f>
        <v>21</v>
      </c>
      <c r="D20" s="20" t="n">
        <f aca="false">IF(YEARFRAC($B$4,B20)&gt;15,12,24)</f>
        <v>12</v>
      </c>
      <c r="E20" s="17"/>
    </row>
    <row r="21" customFormat="false" ht="15" hidden="false" customHeight="false" outlineLevel="0" collapsed="false">
      <c r="A21" s="4" t="n">
        <v>15</v>
      </c>
      <c r="B21" s="18" t="n">
        <f aca="false">EDATE(B20,D20)</f>
        <v>54483</v>
      </c>
      <c r="C21" s="19" t="n">
        <f aca="false">ROUND(YEARFRAC($B$4,B21),1)</f>
        <v>22</v>
      </c>
      <c r="D21" s="20" t="n">
        <f aca="false">IF(YEARFRAC($B$4,B21)&gt;15,12,24)</f>
        <v>12</v>
      </c>
      <c r="E21" s="17"/>
    </row>
    <row r="22" customFormat="false" ht="15" hidden="false" customHeight="false" outlineLevel="0" collapsed="false">
      <c r="A22" s="4" t="n">
        <v>16</v>
      </c>
      <c r="B22" s="18" t="n">
        <f aca="false">EDATE(B21,D21)</f>
        <v>54848</v>
      </c>
      <c r="C22" s="19" t="n">
        <f aca="false">ROUND(YEARFRAC($B$4,B22),1)</f>
        <v>23</v>
      </c>
      <c r="D22" s="20" t="n">
        <f aca="false">IF(YEARFRAC($B$4,B22)&gt;15,12,24)</f>
        <v>12</v>
      </c>
      <c r="E22" s="17"/>
    </row>
    <row r="23" customFormat="false" ht="15" hidden="false" customHeight="false" outlineLevel="0" collapsed="false">
      <c r="A23" s="4" t="n">
        <v>17</v>
      </c>
      <c r="B23" s="18" t="n">
        <f aca="false">EDATE(B22,D22)</f>
        <v>55213</v>
      </c>
      <c r="C23" s="19" t="n">
        <f aca="false">ROUND(YEARFRAC($B$4,B23),1)</f>
        <v>24</v>
      </c>
      <c r="D23" s="20" t="n">
        <f aca="false">IF(YEARFRAC($B$4,B23)&gt;15,12,24)</f>
        <v>12</v>
      </c>
      <c r="E23" s="17"/>
    </row>
    <row r="24" customFormat="false" ht="15" hidden="false" customHeight="false" outlineLevel="0" collapsed="false">
      <c r="A24" s="4" t="n">
        <v>18</v>
      </c>
      <c r="B24" s="18" t="n">
        <f aca="false">EDATE(B23,D23)</f>
        <v>55579</v>
      </c>
      <c r="C24" s="19" t="n">
        <f aca="false">ROUND(YEARFRAC($B$4,B24),1)</f>
        <v>25</v>
      </c>
      <c r="D24" s="20" t="n">
        <f aca="false">IF(YEARFRAC($B$4,B24)&gt;15,12,24)</f>
        <v>12</v>
      </c>
      <c r="E24" s="17"/>
    </row>
    <row r="25" customFormat="false" ht="15" hidden="false" customHeight="false" outlineLevel="0" collapsed="false">
      <c r="A25" s="4" t="n">
        <v>19</v>
      </c>
      <c r="B25" s="18" t="n">
        <f aca="false">EDATE(B24,D24)</f>
        <v>55944</v>
      </c>
      <c r="C25" s="19" t="n">
        <f aca="false">ROUND(YEARFRAC($B$4,B25),1)</f>
        <v>26</v>
      </c>
      <c r="D25" s="20" t="n">
        <f aca="false">IF(YEARFRAC($B$4,B25)&gt;15,12,24)</f>
        <v>12</v>
      </c>
      <c r="E25" s="17"/>
    </row>
    <row r="26" customFormat="false" ht="15" hidden="false" customHeight="false" outlineLevel="0" collapsed="false">
      <c r="A26" s="4" t="n">
        <v>20</v>
      </c>
      <c r="B26" s="18" t="n">
        <f aca="false">EDATE(B25,D25)</f>
        <v>56309</v>
      </c>
      <c r="C26" s="19" t="n">
        <f aca="false">ROUND(YEARFRAC($B$4,B26),1)</f>
        <v>27</v>
      </c>
      <c r="D26" s="20" t="n">
        <f aca="false">IF(YEARFRAC($B$4,B26)&gt;15,12,24)</f>
        <v>12</v>
      </c>
      <c r="E26" s="17"/>
    </row>
    <row r="28" customFormat="false" ht="15" hidden="false" customHeight="false" outlineLevel="0" collapsed="false">
      <c r="A28" s="13" t="s">
        <v>87</v>
      </c>
      <c r="B28" s="21" t="n">
        <f aca="true">IFERROR(INDEX(B7:B26,MATCH(TRUE(),INDEX(B7:B26&gt;=TODAY(),0),0)),"")</f>
        <v>46447</v>
      </c>
    </row>
    <row r="30" customFormat="false" ht="15" hidden="false" customHeight="false" outlineLevel="0" collapsed="false">
      <c r="A30" s="3" t="s">
        <v>88</v>
      </c>
      <c r="B30" s="3" t="s">
        <v>89</v>
      </c>
    </row>
    <row r="31" customFormat="false" ht="26.85" hidden="false" customHeight="true" outlineLevel="0" collapsed="false">
      <c r="A31" s="13" t="s">
        <v>90</v>
      </c>
      <c r="B31" s="4" t="s">
        <v>91</v>
      </c>
      <c r="C31" s="4"/>
      <c r="D31" s="4"/>
      <c r="E31" s="4"/>
    </row>
    <row r="32" customFormat="false" ht="15" hidden="false" customHeight="true" outlineLevel="0" collapsed="false">
      <c r="A32" s="13" t="s">
        <v>92</v>
      </c>
      <c r="B32" s="4" t="s">
        <v>93</v>
      </c>
      <c r="C32" s="4"/>
      <c r="D32" s="4"/>
      <c r="E32" s="4"/>
    </row>
    <row r="33" customFormat="false" ht="15" hidden="false" customHeight="true" outlineLevel="0" collapsed="false">
      <c r="A33" s="13" t="s">
        <v>94</v>
      </c>
      <c r="B33" s="4" t="s">
        <v>95</v>
      </c>
      <c r="C33" s="4"/>
      <c r="D33" s="4"/>
      <c r="E33" s="4"/>
    </row>
    <row r="34" customFormat="false" ht="15" hidden="false" customHeight="true" outlineLevel="0" collapsed="false">
      <c r="A34" s="13" t="s">
        <v>96</v>
      </c>
      <c r="B34" s="4" t="s">
        <v>97</v>
      </c>
      <c r="C34" s="4"/>
      <c r="D34" s="4"/>
      <c r="E34" s="4"/>
    </row>
    <row r="35" customFormat="false" ht="15" hidden="false" customHeight="true" outlineLevel="0" collapsed="false">
      <c r="A35" s="13" t="s">
        <v>98</v>
      </c>
      <c r="B35" s="4" t="s">
        <v>99</v>
      </c>
      <c r="C35" s="4"/>
      <c r="D35" s="4"/>
      <c r="E35" s="4"/>
    </row>
  </sheetData>
  <mergeCells count="5">
    <mergeCell ref="B31:E31"/>
    <mergeCell ref="B32:E32"/>
    <mergeCell ref="B33:E33"/>
    <mergeCell ref="B34:E34"/>
    <mergeCell ref="B35:E3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4" min="3" style="0" width="13"/>
    <col collapsed="false" customWidth="true" hidden="false" outlineLevel="0" max="6" min="5" style="0" width="22"/>
    <col collapsed="false" customWidth="true" hidden="false" outlineLevel="0" max="7" min="7" style="0" width="34"/>
  </cols>
  <sheetData>
    <row r="1" customFormat="false" ht="17.35" hidden="false" customHeight="false" outlineLevel="0" collapsed="false">
      <c r="A1" s="1" t="s">
        <v>100</v>
      </c>
    </row>
    <row r="2" customFormat="false" ht="15" hidden="false" customHeight="false" outlineLevel="0" collapsed="false">
      <c r="A2" s="2" t="s">
        <v>101</v>
      </c>
    </row>
    <row r="4" customFormat="false" ht="15" hidden="false" customHeight="false" outlineLevel="0" collapsed="false">
      <c r="A4" s="13" t="s">
        <v>102</v>
      </c>
      <c r="B4" s="16" t="n">
        <v>2</v>
      </c>
    </row>
    <row r="6" customFormat="false" ht="26.85" hidden="false" customHeight="false" outlineLevel="0" collapsed="false">
      <c r="A6" s="3" t="s">
        <v>103</v>
      </c>
      <c r="B6" s="3" t="s">
        <v>104</v>
      </c>
      <c r="C6" s="3" t="s">
        <v>105</v>
      </c>
      <c r="D6" s="3" t="s">
        <v>106</v>
      </c>
      <c r="E6" s="3" t="s">
        <v>107</v>
      </c>
      <c r="F6" s="3" t="s">
        <v>108</v>
      </c>
      <c r="G6" s="3" t="s">
        <v>4</v>
      </c>
    </row>
    <row r="7" customFormat="false" ht="15" hidden="false" customHeight="false" outlineLevel="0" collapsed="false">
      <c r="A7" s="4" t="s">
        <v>109</v>
      </c>
      <c r="B7" s="4" t="s">
        <v>110</v>
      </c>
      <c r="C7" s="22" t="n">
        <v>1500000</v>
      </c>
      <c r="D7" s="22" t="n">
        <v>5000000</v>
      </c>
      <c r="E7" s="23" t="n">
        <f aca="false">C7*12*$B$4</f>
        <v>36000000</v>
      </c>
      <c r="F7" s="23" t="n">
        <f aca="false">D7*12*$B$4</f>
        <v>120000000</v>
      </c>
      <c r="G7" s="4" t="s">
        <v>111</v>
      </c>
    </row>
    <row r="8" customFormat="false" ht="15" hidden="false" customHeight="false" outlineLevel="0" collapsed="false">
      <c r="A8" s="4" t="s">
        <v>112</v>
      </c>
      <c r="B8" s="4" t="s">
        <v>113</v>
      </c>
      <c r="C8" s="22" t="n">
        <v>5000</v>
      </c>
      <c r="D8" s="22" t="n">
        <v>8000</v>
      </c>
      <c r="E8" s="23" t="n">
        <f aca="false">C8*B13*$B$4</f>
        <v>30000000</v>
      </c>
      <c r="F8" s="23" t="n">
        <f aca="false">D8*B13*$B$4</f>
        <v>48000000</v>
      </c>
      <c r="G8" s="4" t="s">
        <v>114</v>
      </c>
    </row>
    <row r="9" customFormat="false" ht="15" hidden="false" customHeight="false" outlineLevel="0" collapsed="false">
      <c r="A9" s="4" t="s">
        <v>115</v>
      </c>
      <c r="B9" s="4" t="s">
        <v>116</v>
      </c>
      <c r="C9" s="22" t="n">
        <v>1500000</v>
      </c>
      <c r="D9" s="22" t="n">
        <v>3000000</v>
      </c>
      <c r="E9" s="23" t="n">
        <f aca="false">C9*1*$B$4</f>
        <v>3000000</v>
      </c>
      <c r="F9" s="23" t="n">
        <f aca="false">D9*1*$B$4</f>
        <v>6000000</v>
      </c>
      <c r="G9" s="4" t="s">
        <v>117</v>
      </c>
    </row>
    <row r="10" customFormat="false" ht="15" hidden="false" customHeight="false" outlineLevel="0" collapsed="false">
      <c r="A10" s="4" t="s">
        <v>118</v>
      </c>
      <c r="B10" s="4" t="s">
        <v>116</v>
      </c>
      <c r="C10" s="22" t="n">
        <v>5000000</v>
      </c>
      <c r="D10" s="22" t="n">
        <v>10000000</v>
      </c>
      <c r="E10" s="23" t="n">
        <f aca="false">C10*1*$B$4</f>
        <v>10000000</v>
      </c>
      <c r="F10" s="23" t="n">
        <f aca="false">D10*1*$B$4</f>
        <v>20000000</v>
      </c>
      <c r="G10" s="4" t="s">
        <v>119</v>
      </c>
    </row>
    <row r="11" customFormat="false" ht="15" hidden="false" customHeight="false" outlineLevel="0" collapsed="false">
      <c r="A11" s="13" t="s">
        <v>120</v>
      </c>
      <c r="E11" s="24" t="n">
        <f aca="false">SUM(E7:E10)</f>
        <v>79000000</v>
      </c>
      <c r="F11" s="24" t="n">
        <f aca="false">SUM(F7:F10)</f>
        <v>194000000</v>
      </c>
    </row>
    <row r="13" customFormat="false" ht="15" hidden="false" customHeight="false" outlineLevel="0" collapsed="false">
      <c r="A13" s="13" t="s">
        <v>121</v>
      </c>
      <c r="B13" s="22" t="n">
        <v>3000</v>
      </c>
    </row>
    <row r="15" customFormat="false" ht="30" hidden="false" customHeight="true" outlineLevel="0" collapsed="false">
      <c r="A15" s="4" t="s">
        <v>122</v>
      </c>
      <c r="B15" s="4"/>
      <c r="C15" s="4"/>
      <c r="D15" s="4"/>
      <c r="E15" s="4"/>
      <c r="F15" s="4"/>
      <c r="G15" s="4"/>
    </row>
    <row r="17" customFormat="false" ht="15" hidden="false" customHeight="true" outlineLevel="0" collapsed="false">
      <c r="A17" s="4" t="s">
        <v>123</v>
      </c>
      <c r="B17" s="4"/>
      <c r="C17" s="4"/>
      <c r="D17" s="4"/>
      <c r="E17" s="4"/>
      <c r="F17" s="4"/>
      <c r="G17" s="4"/>
    </row>
  </sheetData>
  <mergeCells count="2">
    <mergeCell ref="A15:G15"/>
    <mergeCell ref="A17:G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2026-10-31T10:56:38Z</dcterms:created>
  <dc:creator>openpyxl</dc:creator>
  <dc:description/>
  <dc:language>en-US</dc:language>
  <cp:lastModifiedBy/>
  <dcterms:modified xsi:type="dcterms:W3CDTF">2026-10-31T10:56:38Z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